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85" activeTab="0"/>
  </bookViews>
  <sheets>
    <sheet name="流动资金贷款贴息情况明细表" sheetId="1" r:id="rId1"/>
  </sheets>
  <definedNames>
    <definedName name="_xlnm.Print_Titles" localSheetId="0">'流动资金贷款贴息情况明细表'!$1:$3</definedName>
    <definedName name="_xlnm._FilterDatabase" localSheetId="0" hidden="1">'流动资金贷款贴息情况明细表'!$A$3:$K$73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<sst xmlns="http://schemas.openxmlformats.org/spreadsheetml/2006/main" count="136" uniqueCount="91">
  <si>
    <t>2022年度鄂尔多斯市旅游企业流动资金贷款贴息情况公示表</t>
  </si>
  <si>
    <t>序号</t>
  </si>
  <si>
    <t>企业名称</t>
  </si>
  <si>
    <t>所属旗区</t>
  </si>
  <si>
    <t>贷款银行</t>
  </si>
  <si>
    <t>贷款金额
（万元）</t>
  </si>
  <si>
    <t>按贴息标准计算
贴息金额（元）</t>
  </si>
  <si>
    <t>审定贴息
金额（元）</t>
  </si>
  <si>
    <t>鄂尔多斯市隆胜野生动物园有限责任公司</t>
  </si>
  <si>
    <t>东胜区</t>
  </si>
  <si>
    <t>华夏银行股份有限公司呼和浩特支行</t>
  </si>
  <si>
    <t>鄂尔多斯市天骄蒙银村镇银行股份有限公司</t>
  </si>
  <si>
    <t>鄂尔多斯农村商业银行股份有限公司</t>
  </si>
  <si>
    <t>内蒙古银行股份有限公司小企业金融服务中心</t>
  </si>
  <si>
    <t>鄂尔多斯市隆胜野生动物园有限责任公司小计</t>
  </si>
  <si>
    <t>内蒙古聚游国际旅行社有限公司</t>
  </si>
  <si>
    <t>内蒙古中程国际旅行社有限公司</t>
  </si>
  <si>
    <t>鄂尔多斯农村商业银行股份有限公司体育街支行</t>
  </si>
  <si>
    <t>中国农业银行股份有限公司鄂尔多斯东胜支行</t>
  </si>
  <si>
    <t>内蒙古中程国际旅行社有限公司小计</t>
  </si>
  <si>
    <t>鄂尔多斯市冠丰胜州商贸有限责任公司</t>
  </si>
  <si>
    <t>华夏银行股份有限公司鄂尔多斯分行</t>
  </si>
  <si>
    <t>鄂尔多斯市康巴什文化旅游发展有限公司</t>
  </si>
  <si>
    <t>康巴什区</t>
  </si>
  <si>
    <t>鄂尔多斯市康巴什村镇银行有限公司</t>
  </si>
  <si>
    <t>鄂尔多斯市金港湾国际赛车城发展有限公司</t>
  </si>
  <si>
    <t>内蒙古鄂托克农村商业银行股份有限公司营业部</t>
  </si>
  <si>
    <t>伊金霍洛旗矿区农村信用合作联社民生分社</t>
  </si>
  <si>
    <t>鄂尔多斯市金港湾国际赛车城发展有限公司小计</t>
  </si>
  <si>
    <t>内蒙古旅好玩旅游文化传媒有限公司</t>
  </si>
  <si>
    <t>中国建设银行股份有限公司鄂尔多斯分行</t>
  </si>
  <si>
    <t>内蒙古蒙之旅度假旅游有限公司鄂尔多斯草原旅游区</t>
  </si>
  <si>
    <t>杭锦旗</t>
  </si>
  <si>
    <t>内蒙古杭锦农村商业银行股份有限公司营业部</t>
  </si>
  <si>
    <t>中国工商银行股份有限公司杭锦支行</t>
  </si>
  <si>
    <t>鄂尔多斯农村商业银行股份有限公司金珠支行</t>
  </si>
  <si>
    <t>内蒙古蒙之旅度假旅游有限公司鄂尔多斯草原旅游区小计</t>
  </si>
  <si>
    <t>鄂尔多斯市恒盛兴沙漠酒店有限责任公司</t>
  </si>
  <si>
    <t>乌海银行股份有限公司鄂尔多斯分行</t>
  </si>
  <si>
    <t>鄂尔多斯市恒盛兴沙漠酒店有限责任公司小计</t>
  </si>
  <si>
    <t>鄂尔多斯市库布齐沙漠金沙岭旅游开发有限责任公司</t>
  </si>
  <si>
    <t>亿利库布其沙漠生态旅游有限公司</t>
  </si>
  <si>
    <t>杭锦大众村镇银行独贵塔拉支行</t>
  </si>
  <si>
    <t>亿利库布其沙漠生态旅游有限公司小计</t>
  </si>
  <si>
    <t>鄂尔多斯市察汗部落旅游开发有限公司</t>
  </si>
  <si>
    <t>中国农业银行股份有限公司杭锦旗支行</t>
  </si>
  <si>
    <t>鄂尔多斯市锡林塔拉文化旅游开发有限公司</t>
  </si>
  <si>
    <t>鄂托克旗</t>
  </si>
  <si>
    <t>内蒙古鄂托克农村商业银行股份有限公司苏里格街支行</t>
  </si>
  <si>
    <t>内蒙古鄂托克农村商业银行股份有限公司桃力民路支行</t>
  </si>
  <si>
    <t>鄂尔多斯市锡林塔拉文化旅游开发有限公司小计</t>
  </si>
  <si>
    <t>准格尔旗盛翔文化旅游开发集团有限公司</t>
  </si>
  <si>
    <t>准格尔旗</t>
  </si>
  <si>
    <t>准格尔煤田信用合作联社</t>
  </si>
  <si>
    <t>准格尔旗盛翔文化旅游开发集团有限公司小计</t>
  </si>
  <si>
    <t>鄂尔多斯市准格尔黄河大峡谷文化旅游有限公司</t>
  </si>
  <si>
    <t>准格尔旗农村信用合作联社兴融分社</t>
  </si>
  <si>
    <t>内蒙古响沙湾旅游有限公司</t>
  </si>
  <si>
    <t>达旗</t>
  </si>
  <si>
    <t>中国农业银行股份有限公司达拉特旗支行</t>
  </si>
  <si>
    <t>达拉特旗农村信用合作联社</t>
  </si>
  <si>
    <t>中信银行股份有限公司鄂尔多斯分行</t>
  </si>
  <si>
    <t>内蒙古响沙湾旅游有限公司小计</t>
  </si>
  <si>
    <t>鄂尔多斯市和悦欣荣旅行社有限公司</t>
  </si>
  <si>
    <t>鄂尔多斯市罕台村镇银行股份有限公司</t>
  </si>
  <si>
    <t>鄂尔多斯市响沙湾文化传媒有限公司</t>
  </si>
  <si>
    <t>鄂尔多斯市东胜蒙银村镇银行股份有限公司</t>
  </si>
  <si>
    <t>鄂尔多斯市响沙湾文化传媒有限公司小计</t>
  </si>
  <si>
    <t>鄂尔多斯市众立善旅游服务有限公司</t>
  </si>
  <si>
    <t>鄂尔多斯市宜励旅游发展有限公司（银肯塔拉沙漠生态旅游景区）</t>
  </si>
  <si>
    <t>鄂尔多斯农村商业银行</t>
  </si>
  <si>
    <t>内蒙古黄小几旅游文化有限责任公司</t>
  </si>
  <si>
    <t>达拉特旗农村信用合作联社新华街分社</t>
  </si>
  <si>
    <r>
      <t>鄂尔多斯市</t>
    </r>
    <r>
      <rPr>
        <sz val="9"/>
        <color indexed="8"/>
        <rFont val="宋体"/>
        <family val="0"/>
      </rPr>
      <t>沿河兴昌农业开发有限公司</t>
    </r>
  </si>
  <si>
    <t>鄂尔多斯蒙古源流文化产业发展有限公司</t>
  </si>
  <si>
    <t>伊金霍洛旗</t>
  </si>
  <si>
    <t>伊金霍洛旗矿区农村信用合作联社汇丰分社</t>
  </si>
  <si>
    <t>伊金霍洛农村商业银行</t>
  </si>
  <si>
    <t>中国农业银行股份有限公司伊金霍洛旗支行</t>
  </si>
  <si>
    <t>鄂尔多斯蒙古源流文化产业发展有限公司小计</t>
  </si>
  <si>
    <t>鄂尔多斯市丰和正华文旅有限公司</t>
  </si>
  <si>
    <t>内蒙古伊金霍洛旗农村商业银行股份有限公司</t>
  </si>
  <si>
    <t>伊金霍洛旗文化旅游产业投资集团有限责任公司</t>
  </si>
  <si>
    <t>内蒙古伊金霍洛农村商业银行股份有限公司</t>
  </si>
  <si>
    <t>鄂尔多斯市体验佳文化传播有限公司</t>
  </si>
  <si>
    <t>鄂尔多斯市苏泊罕大草原旅游景区有限责任公司</t>
  </si>
  <si>
    <t>鄂尔多斯农村商业银行西园支行</t>
  </si>
  <si>
    <t>内蒙古亚光现代农业发展有限公司</t>
  </si>
  <si>
    <t>伊金霍洛矿区农村信用合作联社</t>
  </si>
  <si>
    <t>内蒙古亚光现代农业发展有限公司小计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</si>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</sst>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22"/>
      <color indexed="8"/>
      <name val="宋体"/>
      <family val="0"/>
    </font>
    <font>
      <sz val="16"/>
      <color indexed="8"/>
      <name val="方正仿宋_GBK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9"/>
      <color theme="1"/>
      <name val="Times New Roman"/>
      <family val="1"/>
    </font>
    <font>
      <b/>
      <sz val="22"/>
      <color theme="1"/>
      <name val="Cambria"/>
      <family val="0"/>
    </font>
    <font>
      <sz val="16"/>
      <color theme="1"/>
      <name val="方正仿宋_GBK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0" fontId="0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0" fillId="22" borderId="8" applyNumberFormat="0" applyFont="0" applyAlignment="0" applyProtection="0"/>
    <xf numFmtId="0" fontId="41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27" fillId="28" borderId="0" applyNumberFormat="0" applyBorder="0" applyAlignment="0" applyProtection="0"/>
    <xf numFmtId="0" fontId="0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Alignment="1">
      <alignment vertical="center"/>
    </xf>
    <xf numFmtId="176" fontId="45" fillId="0" borderId="0" xfId="0" applyNumberFormat="1" applyFont="1" applyFill="1" applyAlignment="1">
      <alignment horizontal="right" vertical="center"/>
    </xf>
    <xf numFmtId="176" fontId="4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righ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left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/>
    </xf>
    <xf numFmtId="176" fontId="48" fillId="0" borderId="9" xfId="0" applyNumberFormat="1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left" vertical="center"/>
    </xf>
    <xf numFmtId="177" fontId="48" fillId="0" borderId="9" xfId="0" applyNumberFormat="1" applyFont="1" applyFill="1" applyBorder="1" applyAlignment="1">
      <alignment horizontal="left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176" fontId="46" fillId="0" borderId="0" xfId="0" applyNumberFormat="1" applyFont="1" applyFill="1" applyAlignment="1">
      <alignment horizontal="center" vertical="center" wrapText="1"/>
    </xf>
    <xf numFmtId="176" fontId="47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176" fontId="48" fillId="0" borderId="9" xfId="0" applyNumberFormat="1" applyFont="1" applyFill="1" applyBorder="1" applyAlignment="1">
      <alignment horizontal="center" vertical="center" wrapText="1"/>
    </xf>
    <xf numFmtId="176" fontId="48" fillId="0" borderId="9" xfId="0" applyNumberFormat="1" applyFont="1" applyFill="1" applyBorder="1" applyAlignment="1">
      <alignment horizontal="center" vertical="center" wrapText="1"/>
    </xf>
    <xf numFmtId="178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right" vertical="center"/>
    </xf>
    <xf numFmtId="176" fontId="45" fillId="0" borderId="9" xfId="0" applyNumberFormat="1" applyFont="1" applyFill="1" applyBorder="1" applyAlignment="1">
      <alignment horizontal="right" vertical="center"/>
    </xf>
    <xf numFmtId="178" fontId="45" fillId="0" borderId="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178" fontId="45" fillId="0" borderId="9" xfId="0" applyNumberFormat="1" applyFont="1" applyFill="1" applyBorder="1" applyAlignment="1">
      <alignment horizontal="right" vertical="center"/>
    </xf>
    <xf numFmtId="178" fontId="45" fillId="0" borderId="9" xfId="0" applyNumberFormat="1" applyFont="1" applyFill="1" applyBorder="1" applyAlignment="1">
      <alignment horizontal="center" vertical="center"/>
    </xf>
    <xf numFmtId="178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right" vertical="center"/>
    </xf>
    <xf numFmtId="178" fontId="45" fillId="0" borderId="9" xfId="0" applyNumberFormat="1" applyFont="1" applyFill="1" applyBorder="1" applyAlignment="1">
      <alignment horizontal="right" vertical="center"/>
    </xf>
    <xf numFmtId="178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right" vertical="center" wrapText="1"/>
    </xf>
    <xf numFmtId="178" fontId="45" fillId="0" borderId="9" xfId="0" applyNumberFormat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177" fontId="7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vertical="center" wrapText="1"/>
    </xf>
    <xf numFmtId="178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right" vertical="center"/>
    </xf>
    <xf numFmtId="178" fontId="3" fillId="0" borderId="9" xfId="0" applyNumberFormat="1" applyFont="1" applyFill="1" applyBorder="1" applyAlignment="1">
      <alignment horizontal="right" vertical="center"/>
    </xf>
    <xf numFmtId="178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="90" zoomScaleNormal="90" zoomScaleSheetLayoutView="100" workbookViewId="0" topLeftCell="A1">
      <pane xSplit="1" ySplit="3" topLeftCell="B63" activePane="bottomRight" state="frozen"/>
      <selection pane="bottomRight" activeCell="Q68" sqref="Q68"/>
    </sheetView>
  </sheetViews>
  <sheetFormatPr defaultColWidth="9.00390625" defaultRowHeight="15"/>
  <cols>
    <col min="1" max="1" width="4.57421875" style="7" customWidth="1"/>
    <col min="2" max="2" width="38.00390625" style="8" customWidth="1"/>
    <col min="3" max="3" width="11.7109375" style="7" customWidth="1"/>
    <col min="4" max="4" width="19.57421875" style="9" customWidth="1"/>
    <col min="5" max="5" width="13.00390625" style="10" customWidth="1"/>
    <col min="6" max="6" width="14.00390625" style="11" hidden="1" customWidth="1"/>
    <col min="7" max="7" width="13.57421875" style="11" customWidth="1"/>
    <col min="8" max="8" width="16.7109375" style="12" customWidth="1"/>
    <col min="9" max="16384" width="9.00390625" style="12" customWidth="1"/>
  </cols>
  <sheetData>
    <row r="1" spans="1:7" ht="78.75" customHeight="1">
      <c r="A1" s="13" t="s">
        <v>0</v>
      </c>
      <c r="B1" s="14"/>
      <c r="C1" s="14"/>
      <c r="D1" s="14"/>
      <c r="E1" s="38"/>
      <c r="F1" s="39"/>
      <c r="G1" s="39"/>
    </row>
    <row r="2" spans="1:11" ht="9.75" customHeight="1">
      <c r="A2" s="15"/>
      <c r="B2" s="16"/>
      <c r="C2" s="15"/>
      <c r="D2" s="17"/>
      <c r="E2" s="40"/>
      <c r="F2" s="41"/>
      <c r="G2" s="41"/>
      <c r="H2" s="7"/>
      <c r="I2" s="7"/>
      <c r="J2" s="7"/>
      <c r="K2" s="7"/>
    </row>
    <row r="3" spans="1:8" s="1" customFormat="1" ht="45" customHeight="1">
      <c r="A3" s="18" t="s">
        <v>1</v>
      </c>
      <c r="B3" s="18" t="s">
        <v>2</v>
      </c>
      <c r="C3" s="18" t="s">
        <v>3</v>
      </c>
      <c r="D3" s="19" t="s">
        <v>4</v>
      </c>
      <c r="E3" s="42" t="s">
        <v>5</v>
      </c>
      <c r="F3" s="43" t="s">
        <v>6</v>
      </c>
      <c r="G3" s="43" t="s">
        <v>7</v>
      </c>
      <c r="H3" s="6"/>
    </row>
    <row r="4" spans="1:7" s="2" customFormat="1" ht="45" customHeight="1">
      <c r="A4" s="20">
        <v>1</v>
      </c>
      <c r="B4" s="21" t="s">
        <v>8</v>
      </c>
      <c r="C4" s="22" t="s">
        <v>9</v>
      </c>
      <c r="D4" s="23" t="s">
        <v>10</v>
      </c>
      <c r="E4" s="44">
        <v>5954</v>
      </c>
      <c r="F4" s="45" t="e">
        <f>#REF!*0.5</f>
        <v>#REF!</v>
      </c>
      <c r="G4" s="44">
        <v>2000000</v>
      </c>
    </row>
    <row r="5" spans="1:7" s="2" customFormat="1" ht="45" customHeight="1">
      <c r="A5" s="20"/>
      <c r="B5" s="24"/>
      <c r="C5" s="20"/>
      <c r="D5" s="23" t="s">
        <v>10</v>
      </c>
      <c r="E5" s="44">
        <v>5896</v>
      </c>
      <c r="F5" s="45">
        <f>358673.33*0.5</f>
        <v>179336.665</v>
      </c>
      <c r="G5" s="44"/>
    </row>
    <row r="6" spans="1:7" s="2" customFormat="1" ht="45" customHeight="1">
      <c r="A6" s="20"/>
      <c r="B6" s="24"/>
      <c r="C6" s="20"/>
      <c r="D6" s="23" t="s">
        <v>11</v>
      </c>
      <c r="E6" s="44">
        <v>500</v>
      </c>
      <c r="F6" s="45">
        <f>5000000*0.05/360*281*0.5</f>
        <v>97569.44444444445</v>
      </c>
      <c r="G6" s="44"/>
    </row>
    <row r="7" spans="1:7" s="2" customFormat="1" ht="45" customHeight="1">
      <c r="A7" s="20"/>
      <c r="B7" s="24"/>
      <c r="C7" s="20"/>
      <c r="D7" s="23" t="s">
        <v>12</v>
      </c>
      <c r="E7" s="44">
        <v>2990</v>
      </c>
      <c r="F7" s="45">
        <f>(29900000*0.05/360*121+29700000*0.05/360*183)*0.5+I7</f>
        <v>628680.5555555555</v>
      </c>
      <c r="G7" s="44"/>
    </row>
    <row r="8" spans="1:7" s="2" customFormat="1" ht="45" customHeight="1">
      <c r="A8" s="20"/>
      <c r="B8" s="24"/>
      <c r="C8" s="20"/>
      <c r="D8" s="23" t="s">
        <v>13</v>
      </c>
      <c r="E8" s="44">
        <v>1500</v>
      </c>
      <c r="F8" s="45">
        <f>(15000000*0.05/360*114+14500000*0.05/360*4+14000000*0.05/360*186)*0.5</f>
        <v>303611.1111111111</v>
      </c>
      <c r="G8" s="44"/>
    </row>
    <row r="9" spans="1:8" s="2" customFormat="1" ht="45" customHeight="1">
      <c r="A9" s="20"/>
      <c r="B9" s="22" t="s">
        <v>14</v>
      </c>
      <c r="C9" s="22"/>
      <c r="D9" s="22"/>
      <c r="E9" s="44">
        <f>SUM(E4:E8)</f>
        <v>16840</v>
      </c>
      <c r="F9" s="46" t="e">
        <f>SUM(F4:F8)</f>
        <v>#REF!</v>
      </c>
      <c r="G9" s="47">
        <f>SUM(G4:G8)</f>
        <v>2000000</v>
      </c>
      <c r="H9" s="48"/>
    </row>
    <row r="10" spans="1:7" s="2" customFormat="1" ht="45" customHeight="1">
      <c r="A10" s="20">
        <v>2</v>
      </c>
      <c r="B10" s="23" t="s">
        <v>15</v>
      </c>
      <c r="C10" s="22" t="s">
        <v>9</v>
      </c>
      <c r="D10" s="23" t="s">
        <v>13</v>
      </c>
      <c r="E10" s="44">
        <v>600</v>
      </c>
      <c r="F10" s="45">
        <f>(100000*0.05/360*175+1000000*0.05/360*179+1400000*0.05/360*158+475910*0.05/360*186+3000000*0.05/360*189)*0.5</f>
        <v>74529.11527777778</v>
      </c>
      <c r="G10" s="49">
        <f>74529.12</f>
        <v>74529.12</v>
      </c>
    </row>
    <row r="11" spans="1:7" s="2" customFormat="1" ht="45" customHeight="1">
      <c r="A11" s="20">
        <v>3</v>
      </c>
      <c r="B11" s="21" t="s">
        <v>16</v>
      </c>
      <c r="C11" s="22" t="s">
        <v>9</v>
      </c>
      <c r="D11" s="23" t="s">
        <v>17</v>
      </c>
      <c r="E11" s="44">
        <v>150</v>
      </c>
      <c r="F11" s="45">
        <f>1500000*0.05/360*163*0.5</f>
        <v>16979.166666666668</v>
      </c>
      <c r="G11" s="49">
        <f>16979.17</f>
        <v>16979.17</v>
      </c>
    </row>
    <row r="12" spans="1:7" s="2" customFormat="1" ht="45" customHeight="1">
      <c r="A12" s="20"/>
      <c r="B12" s="21"/>
      <c r="C12" s="22"/>
      <c r="D12" s="23" t="s">
        <v>18</v>
      </c>
      <c r="E12" s="44">
        <v>50</v>
      </c>
      <c r="F12" s="45">
        <f>1755.56*0.5</f>
        <v>877.78</v>
      </c>
      <c r="G12" s="49">
        <v>877.78</v>
      </c>
    </row>
    <row r="13" spans="1:8" s="2" customFormat="1" ht="45" customHeight="1">
      <c r="A13" s="20"/>
      <c r="B13" s="22" t="s">
        <v>19</v>
      </c>
      <c r="C13" s="22"/>
      <c r="D13" s="22"/>
      <c r="E13" s="44">
        <f>SUM(E11:E12)</f>
        <v>200</v>
      </c>
      <c r="F13" s="46">
        <f>SUM(F11:F12)</f>
        <v>17856.946666666667</v>
      </c>
      <c r="G13" s="47">
        <f>SUM(G11:G12)</f>
        <v>17856.949999999997</v>
      </c>
      <c r="H13" s="48"/>
    </row>
    <row r="14" spans="1:7" s="2" customFormat="1" ht="45" customHeight="1">
      <c r="A14" s="20">
        <v>4</v>
      </c>
      <c r="B14" s="23" t="s">
        <v>20</v>
      </c>
      <c r="C14" s="22" t="s">
        <v>9</v>
      </c>
      <c r="D14" s="23" t="s">
        <v>21</v>
      </c>
      <c r="E14" s="44">
        <v>1725</v>
      </c>
      <c r="F14" s="45">
        <f>628850.9*0.5</f>
        <v>314425.45</v>
      </c>
      <c r="G14" s="49">
        <f>314425.45</f>
        <v>314425.45</v>
      </c>
    </row>
    <row r="15" spans="1:7" s="2" customFormat="1" ht="49.5" customHeight="1">
      <c r="A15" s="20">
        <v>5</v>
      </c>
      <c r="B15" s="23" t="s">
        <v>22</v>
      </c>
      <c r="C15" s="22" t="s">
        <v>23</v>
      </c>
      <c r="D15" s="23" t="s">
        <v>24</v>
      </c>
      <c r="E15" s="44">
        <v>500</v>
      </c>
      <c r="F15" s="45">
        <f>152166.67*0.5</f>
        <v>76083.335</v>
      </c>
      <c r="G15" s="49">
        <v>67916</v>
      </c>
    </row>
    <row r="16" spans="1:7" s="2" customFormat="1" ht="40.5" customHeight="1">
      <c r="A16" s="20">
        <v>6</v>
      </c>
      <c r="B16" s="21" t="s">
        <v>25</v>
      </c>
      <c r="C16" s="22" t="s">
        <v>23</v>
      </c>
      <c r="D16" s="23" t="s">
        <v>26</v>
      </c>
      <c r="E16" s="44">
        <v>4900</v>
      </c>
      <c r="F16" s="45">
        <f>49000000*0.05/360*84*0.5</f>
        <v>285833.3333333333</v>
      </c>
      <c r="G16" s="49">
        <f>F16</f>
        <v>285833.3333333333</v>
      </c>
    </row>
    <row r="17" spans="1:7" s="2" customFormat="1" ht="40.5" customHeight="1">
      <c r="A17" s="20"/>
      <c r="B17" s="24"/>
      <c r="C17" s="20"/>
      <c r="D17" s="23" t="s">
        <v>27</v>
      </c>
      <c r="E17" s="44">
        <v>3000</v>
      </c>
      <c r="F17" s="45">
        <f>(30000000*0.05/360*66+30000000*0.05/360*90)*0.5</f>
        <v>325000</v>
      </c>
      <c r="G17" s="49">
        <f>F17</f>
        <v>325000</v>
      </c>
    </row>
    <row r="18" spans="1:7" s="2" customFormat="1" ht="40.5" customHeight="1">
      <c r="A18" s="20"/>
      <c r="B18" s="24"/>
      <c r="C18" s="20"/>
      <c r="D18" s="23" t="s">
        <v>27</v>
      </c>
      <c r="E18" s="44">
        <v>3000</v>
      </c>
      <c r="F18" s="45">
        <f>(30000000*0.05/360*92+30000000*0.05/360*26)*0.5</f>
        <v>245833.33333333337</v>
      </c>
      <c r="G18" s="49">
        <f>F18</f>
        <v>245833.33333333337</v>
      </c>
    </row>
    <row r="19" spans="1:7" s="2" customFormat="1" ht="40.5" customHeight="1">
      <c r="A19" s="20"/>
      <c r="B19" s="22" t="s">
        <v>28</v>
      </c>
      <c r="C19" s="22"/>
      <c r="D19" s="22"/>
      <c r="E19" s="44">
        <f>SUM(E16:E18)</f>
        <v>10900</v>
      </c>
      <c r="F19" s="46">
        <f>SUM(F16:F18)-0.01</f>
        <v>856666.6566666666</v>
      </c>
      <c r="G19" s="47">
        <f>SUM(G16:G18)-0.01</f>
        <v>856666.6566666666</v>
      </c>
    </row>
    <row r="20" spans="1:7" s="2" customFormat="1" ht="40.5" customHeight="1">
      <c r="A20" s="20">
        <v>7</v>
      </c>
      <c r="B20" s="23" t="s">
        <v>29</v>
      </c>
      <c r="C20" s="22" t="s">
        <v>23</v>
      </c>
      <c r="D20" s="23" t="s">
        <v>30</v>
      </c>
      <c r="E20" s="44">
        <v>8</v>
      </c>
      <c r="F20" s="45" t="e">
        <f>#REF!*0.5</f>
        <v>#REF!</v>
      </c>
      <c r="G20" s="49">
        <f>1364</f>
        <v>1364</v>
      </c>
    </row>
    <row r="21" spans="1:7" s="2" customFormat="1" ht="40.5" customHeight="1">
      <c r="A21" s="20">
        <v>8</v>
      </c>
      <c r="B21" s="21" t="s">
        <v>31</v>
      </c>
      <c r="C21" s="22" t="s">
        <v>32</v>
      </c>
      <c r="D21" s="23" t="s">
        <v>33</v>
      </c>
      <c r="E21" s="44">
        <v>2000</v>
      </c>
      <c r="F21" s="45">
        <f>20000000*0.05/360*87*0.5</f>
        <v>120833.33333333333</v>
      </c>
      <c r="G21" s="47">
        <f>120833.33+85253.19+122222.22+13350+32250+8145.84</f>
        <v>382054.58</v>
      </c>
    </row>
    <row r="22" spans="1:7" s="2" customFormat="1" ht="40.5" customHeight="1">
      <c r="A22" s="20"/>
      <c r="B22" s="24"/>
      <c r="C22" s="20"/>
      <c r="D22" s="23" t="s">
        <v>34</v>
      </c>
      <c r="E22" s="44">
        <v>490</v>
      </c>
      <c r="F22" s="45" t="e">
        <f>#REF!*0.5</f>
        <v>#REF!</v>
      </c>
      <c r="G22" s="47"/>
    </row>
    <row r="23" spans="1:7" s="2" customFormat="1" ht="40.5" customHeight="1">
      <c r="A23" s="20"/>
      <c r="B23" s="24"/>
      <c r="C23" s="20"/>
      <c r="D23" s="23" t="s">
        <v>35</v>
      </c>
      <c r="E23" s="44">
        <v>1000</v>
      </c>
      <c r="F23" s="45">
        <f>10000000*0.05/360*176*0.5</f>
        <v>122222.22222222222</v>
      </c>
      <c r="G23" s="47"/>
    </row>
    <row r="24" spans="1:7" s="2" customFormat="1" ht="40.5" customHeight="1">
      <c r="A24" s="20"/>
      <c r="B24" s="24"/>
      <c r="C24" s="20"/>
      <c r="D24" s="25" t="s">
        <v>34</v>
      </c>
      <c r="E24" s="44">
        <v>300</v>
      </c>
      <c r="F24" s="45">
        <f>26699.99*0.5</f>
        <v>13349.995</v>
      </c>
      <c r="G24" s="47"/>
    </row>
    <row r="25" spans="1:7" s="2" customFormat="1" ht="40.5" customHeight="1">
      <c r="A25" s="20"/>
      <c r="B25" s="24"/>
      <c r="C25" s="20"/>
      <c r="D25" s="26"/>
      <c r="E25" s="44">
        <v>300</v>
      </c>
      <c r="F25" s="45">
        <f>64499.99*0.5</f>
        <v>32249.995</v>
      </c>
      <c r="G25" s="47"/>
    </row>
    <row r="26" spans="1:7" s="2" customFormat="1" ht="40.5" customHeight="1">
      <c r="A26" s="20"/>
      <c r="B26" s="24"/>
      <c r="C26" s="20"/>
      <c r="D26" s="26"/>
      <c r="E26" s="44">
        <v>300</v>
      </c>
      <c r="F26" s="45">
        <f>16291.67*0.5</f>
        <v>8145.835</v>
      </c>
      <c r="G26" s="47"/>
    </row>
    <row r="27" spans="1:7" s="2" customFormat="1" ht="40.5" customHeight="1">
      <c r="A27" s="20"/>
      <c r="B27" s="22" t="s">
        <v>36</v>
      </c>
      <c r="C27" s="22"/>
      <c r="D27" s="22"/>
      <c r="E27" s="44">
        <f>SUM(E21:E26)</f>
        <v>4390</v>
      </c>
      <c r="F27" s="46" t="e">
        <f>SUM(F21:F26)+0.01</f>
        <v>#REF!</v>
      </c>
      <c r="G27" s="47">
        <f>SUM(G21:G26)</f>
        <v>382054.58</v>
      </c>
    </row>
    <row r="28" spans="1:7" s="2" customFormat="1" ht="40.5" customHeight="1">
      <c r="A28" s="20">
        <v>9</v>
      </c>
      <c r="B28" s="23" t="s">
        <v>37</v>
      </c>
      <c r="C28" s="22" t="s">
        <v>32</v>
      </c>
      <c r="D28" s="23" t="s">
        <v>38</v>
      </c>
      <c r="E28" s="44">
        <v>1000</v>
      </c>
      <c r="F28" s="45">
        <f>10000000*0.05/360*274*0.5</f>
        <v>190277.77777777778</v>
      </c>
      <c r="G28" s="49">
        <f>190277.78</f>
        <v>190277.78</v>
      </c>
    </row>
    <row r="29" spans="1:7" s="2" customFormat="1" ht="40.5" customHeight="1">
      <c r="A29" s="20"/>
      <c r="B29" s="27"/>
      <c r="C29" s="22" t="s">
        <v>32</v>
      </c>
      <c r="D29" s="23" t="s">
        <v>21</v>
      </c>
      <c r="E29" s="44">
        <v>500</v>
      </c>
      <c r="F29" s="45">
        <f>(3999999.92+3958333.25+3916666.58+3874999.91+3833333.24+3791666.57+3749999.9+3708333.23+3666666.56+3624999.89)*0.05/360*30*0.5</f>
        <v>79427.08135416666</v>
      </c>
      <c r="G29" s="49">
        <f>79427.08</f>
        <v>79427.08</v>
      </c>
    </row>
    <row r="30" spans="1:8" s="2" customFormat="1" ht="40.5" customHeight="1">
      <c r="A30" s="20"/>
      <c r="B30" s="22" t="s">
        <v>39</v>
      </c>
      <c r="C30" s="22"/>
      <c r="D30" s="22"/>
      <c r="E30" s="44">
        <f>SUM(E28:E29)</f>
        <v>1500</v>
      </c>
      <c r="F30" s="46">
        <f>SUM(F28:F29)</f>
        <v>269704.8591319444</v>
      </c>
      <c r="G30" s="47">
        <f>SUM(G28:G29)</f>
        <v>269704.86</v>
      </c>
      <c r="H30" s="48"/>
    </row>
    <row r="31" spans="1:7" s="2" customFormat="1" ht="40.5" customHeight="1">
      <c r="A31" s="20">
        <v>10</v>
      </c>
      <c r="B31" s="28" t="s">
        <v>40</v>
      </c>
      <c r="C31" s="29" t="s">
        <v>32</v>
      </c>
      <c r="D31" s="23" t="s">
        <v>38</v>
      </c>
      <c r="E31" s="50">
        <v>2700</v>
      </c>
      <c r="F31" s="45">
        <f>27000000*0.05/360*274*0.5</f>
        <v>513750</v>
      </c>
      <c r="G31" s="49">
        <f>513750</f>
        <v>513750</v>
      </c>
    </row>
    <row r="32" spans="1:7" s="2" customFormat="1" ht="40.5" customHeight="1">
      <c r="A32" s="20">
        <v>11</v>
      </c>
      <c r="B32" s="30" t="s">
        <v>41</v>
      </c>
      <c r="C32" s="31" t="s">
        <v>32</v>
      </c>
      <c r="D32" s="28" t="s">
        <v>42</v>
      </c>
      <c r="E32" s="50">
        <v>240</v>
      </c>
      <c r="F32" s="45">
        <f>2400000*0.05/360*273*0.5</f>
        <v>45500</v>
      </c>
      <c r="G32" s="49">
        <f>45500</f>
        <v>45500</v>
      </c>
    </row>
    <row r="33" spans="1:7" s="2" customFormat="1" ht="40.5" customHeight="1">
      <c r="A33" s="20"/>
      <c r="B33" s="32"/>
      <c r="C33" s="33"/>
      <c r="D33" s="28" t="s">
        <v>42</v>
      </c>
      <c r="E33" s="51">
        <v>250</v>
      </c>
      <c r="F33" s="45">
        <f>2500000*0.048996/360*273*0.5</f>
        <v>46444.125</v>
      </c>
      <c r="G33" s="49">
        <f>46444.13</f>
        <v>46444.13</v>
      </c>
    </row>
    <row r="34" spans="1:7" s="2" customFormat="1" ht="40.5" customHeight="1">
      <c r="A34" s="20"/>
      <c r="B34" s="32"/>
      <c r="C34" s="33"/>
      <c r="D34" s="28" t="s">
        <v>42</v>
      </c>
      <c r="E34" s="51">
        <v>500</v>
      </c>
      <c r="F34" s="45">
        <f>(5000000*0.049/360*181+5000000*0.05/360*92)*0.5</f>
        <v>93534.72222222222</v>
      </c>
      <c r="G34" s="49">
        <f>93534.72</f>
        <v>93534.72</v>
      </c>
    </row>
    <row r="35" spans="1:7" s="2" customFormat="1" ht="40.5" customHeight="1">
      <c r="A35" s="20"/>
      <c r="B35" s="22" t="s">
        <v>43</v>
      </c>
      <c r="C35" s="22"/>
      <c r="D35" s="22"/>
      <c r="E35" s="51">
        <f>SUM(E32:E34)</f>
        <v>990</v>
      </c>
      <c r="F35" s="45">
        <f>SUM(F32:F34)</f>
        <v>185478.84722222222</v>
      </c>
      <c r="G35" s="49">
        <f>SUM(G32:G34)</f>
        <v>185478.85</v>
      </c>
    </row>
    <row r="36" spans="1:7" s="2" customFormat="1" ht="40.5" customHeight="1">
      <c r="A36" s="20">
        <v>12</v>
      </c>
      <c r="B36" s="34" t="s">
        <v>44</v>
      </c>
      <c r="C36" s="22" t="s">
        <v>32</v>
      </c>
      <c r="D36" s="28" t="s">
        <v>45</v>
      </c>
      <c r="E36" s="51">
        <v>500</v>
      </c>
      <c r="F36" s="45">
        <f>110666.69*0.5</f>
        <v>55333.345</v>
      </c>
      <c r="G36" s="49">
        <v>55333.35</v>
      </c>
    </row>
    <row r="37" spans="1:7" s="2" customFormat="1" ht="40.5" customHeight="1">
      <c r="A37" s="20">
        <v>13</v>
      </c>
      <c r="B37" s="30" t="s">
        <v>46</v>
      </c>
      <c r="C37" s="31" t="s">
        <v>47</v>
      </c>
      <c r="D37" s="28" t="s">
        <v>48</v>
      </c>
      <c r="E37" s="44">
        <v>100</v>
      </c>
      <c r="F37" s="45">
        <f>1000000*0.05/360*273*0.5</f>
        <v>18958.333333333332</v>
      </c>
      <c r="G37" s="49">
        <f>18958.33</f>
        <v>18958.33</v>
      </c>
    </row>
    <row r="38" spans="1:7" s="2" customFormat="1" ht="40.5" customHeight="1">
      <c r="A38" s="20"/>
      <c r="B38" s="32"/>
      <c r="C38" s="33"/>
      <c r="D38" s="28" t="s">
        <v>49</v>
      </c>
      <c r="E38" s="50">
        <v>44.9</v>
      </c>
      <c r="F38" s="45">
        <f>449000*0.05/360*23*0.5</f>
        <v>717.1527777777778</v>
      </c>
      <c r="G38" s="49">
        <f>717.15</f>
        <v>717.15</v>
      </c>
    </row>
    <row r="39" spans="1:7" s="2" customFormat="1" ht="40.5" customHeight="1">
      <c r="A39" s="20"/>
      <c r="B39" s="32"/>
      <c r="C39" s="33"/>
      <c r="D39" s="28" t="s">
        <v>49</v>
      </c>
      <c r="E39" s="50">
        <v>230</v>
      </c>
      <c r="F39" s="45">
        <f>2300000*0.05/360*273*0.5</f>
        <v>43604.16666666667</v>
      </c>
      <c r="G39" s="49">
        <v>43604.17</v>
      </c>
    </row>
    <row r="40" spans="1:8" s="3" customFormat="1" ht="40.5" customHeight="1">
      <c r="A40" s="20"/>
      <c r="B40" s="35" t="s">
        <v>50</v>
      </c>
      <c r="C40" s="35"/>
      <c r="D40" s="35"/>
      <c r="E40" s="50">
        <f>SUM(E37:E39)</f>
        <v>374.9</v>
      </c>
      <c r="F40" s="52">
        <f>SUM(F37:F39)</f>
        <v>63279.65277777778</v>
      </c>
      <c r="G40" s="53">
        <f>SUM(G37:G39)</f>
        <v>63279.65</v>
      </c>
      <c r="H40" s="2"/>
    </row>
    <row r="41" spans="1:7" s="2" customFormat="1" ht="42.75" customHeight="1">
      <c r="A41" s="20">
        <v>14</v>
      </c>
      <c r="B41" s="30" t="s">
        <v>51</v>
      </c>
      <c r="C41" s="29" t="s">
        <v>52</v>
      </c>
      <c r="D41" s="28" t="s">
        <v>53</v>
      </c>
      <c r="E41" s="50">
        <v>6000</v>
      </c>
      <c r="F41" s="45">
        <f>(26000000*0.05/360*274+8000000*0.05/360*107+26000000*0.05/360*205)*0.5</f>
        <v>924305.5555555557</v>
      </c>
      <c r="G41" s="44">
        <v>2000000</v>
      </c>
    </row>
    <row r="42" spans="1:7" s="2" customFormat="1" ht="42.75" customHeight="1">
      <c r="A42" s="20"/>
      <c r="B42" s="32"/>
      <c r="C42" s="29" t="s">
        <v>52</v>
      </c>
      <c r="D42" s="28" t="s">
        <v>53</v>
      </c>
      <c r="E42" s="50">
        <v>7000</v>
      </c>
      <c r="F42" s="45">
        <f>2481033.36*0.5</f>
        <v>1240516.68</v>
      </c>
      <c r="G42" s="44"/>
    </row>
    <row r="43" spans="1:8" s="2" customFormat="1" ht="42.75" customHeight="1">
      <c r="A43" s="20"/>
      <c r="B43" s="22" t="s">
        <v>54</v>
      </c>
      <c r="C43" s="22"/>
      <c r="D43" s="22"/>
      <c r="E43" s="50">
        <f>SUM(E41:E42)</f>
        <v>13000</v>
      </c>
      <c r="F43" s="52">
        <f>SUM(F41:F42)</f>
        <v>2164822.2355555557</v>
      </c>
      <c r="G43" s="53">
        <f>SUM(G41:G42)</f>
        <v>2000000</v>
      </c>
      <c r="H43" s="48"/>
    </row>
    <row r="44" spans="1:7" s="2" customFormat="1" ht="42.75" customHeight="1">
      <c r="A44" s="20">
        <v>15</v>
      </c>
      <c r="B44" s="30" t="s">
        <v>55</v>
      </c>
      <c r="C44" s="29" t="s">
        <v>52</v>
      </c>
      <c r="D44" s="28" t="s">
        <v>56</v>
      </c>
      <c r="E44" s="50">
        <v>800</v>
      </c>
      <c r="F44" s="45">
        <f>(253962.5+2000000*0.05/360*73+5000000*0.05/360*107)*0.5</f>
        <v>174272.91666666666</v>
      </c>
      <c r="G44" s="49">
        <f>174272.92</f>
        <v>174272.92</v>
      </c>
    </row>
    <row r="45" spans="1:7" s="2" customFormat="1" ht="42.75" customHeight="1">
      <c r="A45" s="20">
        <v>16</v>
      </c>
      <c r="B45" s="30" t="s">
        <v>57</v>
      </c>
      <c r="C45" s="31" t="s">
        <v>58</v>
      </c>
      <c r="D45" s="36" t="s">
        <v>30</v>
      </c>
      <c r="E45" s="54">
        <v>3000</v>
      </c>
      <c r="F45" s="46">
        <v>2000000</v>
      </c>
      <c r="G45" s="47">
        <v>2000000</v>
      </c>
    </row>
    <row r="46" spans="1:7" s="2" customFormat="1" ht="42.75" customHeight="1">
      <c r="A46" s="20"/>
      <c r="B46" s="32"/>
      <c r="C46" s="33"/>
      <c r="D46" s="36" t="s">
        <v>30</v>
      </c>
      <c r="E46" s="54">
        <v>5000</v>
      </c>
      <c r="F46" s="46"/>
      <c r="G46" s="47"/>
    </row>
    <row r="47" spans="1:7" s="2" customFormat="1" ht="42.75" customHeight="1">
      <c r="A47" s="20"/>
      <c r="B47" s="32"/>
      <c r="C47" s="33"/>
      <c r="D47" s="36" t="s">
        <v>59</v>
      </c>
      <c r="E47" s="54">
        <v>5000</v>
      </c>
      <c r="F47" s="46"/>
      <c r="G47" s="47"/>
    </row>
    <row r="48" spans="1:7" s="2" customFormat="1" ht="42.75" customHeight="1">
      <c r="A48" s="20"/>
      <c r="B48" s="32"/>
      <c r="C48" s="33"/>
      <c r="D48" s="36" t="s">
        <v>60</v>
      </c>
      <c r="E48" s="54">
        <v>4500</v>
      </c>
      <c r="F48" s="46"/>
      <c r="G48" s="47"/>
    </row>
    <row r="49" spans="1:7" s="2" customFormat="1" ht="42.75" customHeight="1">
      <c r="A49" s="20"/>
      <c r="B49" s="32"/>
      <c r="C49" s="33"/>
      <c r="D49" s="36" t="s">
        <v>61</v>
      </c>
      <c r="E49" s="54">
        <v>3000</v>
      </c>
      <c r="F49" s="46"/>
      <c r="G49" s="47"/>
    </row>
    <row r="50" spans="1:7" s="2" customFormat="1" ht="42.75" customHeight="1">
      <c r="A50" s="20"/>
      <c r="B50" s="32"/>
      <c r="C50" s="33"/>
      <c r="D50" s="36" t="s">
        <v>61</v>
      </c>
      <c r="E50" s="54">
        <v>1500</v>
      </c>
      <c r="F50" s="46"/>
      <c r="G50" s="47"/>
    </row>
    <row r="51" spans="1:8" s="4" customFormat="1" ht="42.75" customHeight="1">
      <c r="A51" s="20"/>
      <c r="B51" s="35" t="s">
        <v>62</v>
      </c>
      <c r="C51" s="35"/>
      <c r="D51" s="35"/>
      <c r="E51" s="54">
        <f>SUM(E45:E50)</f>
        <v>22000</v>
      </c>
      <c r="F51" s="55">
        <f>SUM(F45:F50)</f>
        <v>2000000</v>
      </c>
      <c r="G51" s="56">
        <f>SUM(G45:G50)</f>
        <v>2000000</v>
      </c>
      <c r="H51" s="2"/>
    </row>
    <row r="52" spans="1:7" s="2" customFormat="1" ht="42.75" customHeight="1">
      <c r="A52" s="20">
        <v>17</v>
      </c>
      <c r="B52" s="28" t="s">
        <v>63</v>
      </c>
      <c r="C52" s="29" t="s">
        <v>58</v>
      </c>
      <c r="D52" s="36" t="s">
        <v>64</v>
      </c>
      <c r="E52" s="54">
        <v>480</v>
      </c>
      <c r="F52" s="45">
        <f>4800000*0.05/360*196*0.5</f>
        <v>65333.33333333333</v>
      </c>
      <c r="G52" s="49">
        <f>65333.33</f>
        <v>65333.33</v>
      </c>
    </row>
    <row r="53" spans="1:7" s="2" customFormat="1" ht="42.75" customHeight="1">
      <c r="A53" s="20">
        <v>18</v>
      </c>
      <c r="B53" s="30" t="s">
        <v>65</v>
      </c>
      <c r="C53" s="31" t="s">
        <v>58</v>
      </c>
      <c r="D53" s="36" t="s">
        <v>64</v>
      </c>
      <c r="E53" s="54">
        <v>480</v>
      </c>
      <c r="F53" s="45">
        <f>4800000*0.05/360*196*0.5</f>
        <v>65333.33333333333</v>
      </c>
      <c r="G53" s="49">
        <f>65333.33</f>
        <v>65333.33</v>
      </c>
    </row>
    <row r="54" spans="1:7" s="2" customFormat="1" ht="42.75" customHeight="1">
      <c r="A54" s="20"/>
      <c r="B54" s="32"/>
      <c r="C54" s="33"/>
      <c r="D54" s="36" t="s">
        <v>66</v>
      </c>
      <c r="E54" s="54">
        <v>800</v>
      </c>
      <c r="F54" s="45">
        <f>8000000*0.05/360*147*0.5</f>
        <v>81666.66666666667</v>
      </c>
      <c r="G54" s="49">
        <f>81666.67</f>
        <v>81666.67</v>
      </c>
    </row>
    <row r="55" spans="1:7" s="2" customFormat="1" ht="42.75" customHeight="1">
      <c r="A55" s="20"/>
      <c r="B55" s="22" t="s">
        <v>67</v>
      </c>
      <c r="C55" s="22"/>
      <c r="D55" s="22"/>
      <c r="E55" s="54">
        <f>SUM(E53:E54)</f>
        <v>1280</v>
      </c>
      <c r="F55" s="45">
        <f>SUM(F53:F54)</f>
        <v>147000</v>
      </c>
      <c r="G55" s="49">
        <f>SUM(G53:G54)</f>
        <v>147000</v>
      </c>
    </row>
    <row r="56" spans="1:7" s="2" customFormat="1" ht="39.75" customHeight="1">
      <c r="A56" s="20">
        <v>19</v>
      </c>
      <c r="B56" s="28" t="s">
        <v>68</v>
      </c>
      <c r="C56" s="29" t="s">
        <v>58</v>
      </c>
      <c r="D56" s="36" t="s">
        <v>64</v>
      </c>
      <c r="E56" s="54">
        <v>480</v>
      </c>
      <c r="F56" s="45">
        <f>4800000*0.05/360*196*0.5</f>
        <v>65333.33333333333</v>
      </c>
      <c r="G56" s="49">
        <f>F56</f>
        <v>65333.33333333333</v>
      </c>
    </row>
    <row r="57" spans="1:7" s="2" customFormat="1" ht="39.75" customHeight="1">
      <c r="A57" s="20">
        <v>20</v>
      </c>
      <c r="B57" s="28" t="s">
        <v>69</v>
      </c>
      <c r="C57" s="29" t="s">
        <v>58</v>
      </c>
      <c r="D57" s="37" t="s">
        <v>70</v>
      </c>
      <c r="E57" s="54">
        <v>1000</v>
      </c>
      <c r="F57" s="45">
        <f>(2800000*0.05/360*147+6268400*0.05/360*122+931600*0.05/360*93)*0.5</f>
        <v>87707.19444444444</v>
      </c>
      <c r="G57" s="49">
        <f>87707.19</f>
        <v>87707.19</v>
      </c>
    </row>
    <row r="58" spans="1:7" s="2" customFormat="1" ht="39.75" customHeight="1">
      <c r="A58" s="20">
        <v>21</v>
      </c>
      <c r="B58" s="28" t="s">
        <v>71</v>
      </c>
      <c r="C58" s="29" t="s">
        <v>58</v>
      </c>
      <c r="D58" s="37" t="s">
        <v>72</v>
      </c>
      <c r="E58" s="54">
        <v>200</v>
      </c>
      <c r="F58" s="45">
        <f>2000000*0.05/360*83*0.5</f>
        <v>11527.777777777777</v>
      </c>
      <c r="G58" s="49">
        <f>11527.78</f>
        <v>11527.78</v>
      </c>
    </row>
    <row r="59" spans="1:7" s="2" customFormat="1" ht="39.75" customHeight="1">
      <c r="A59" s="20">
        <v>22</v>
      </c>
      <c r="B59" s="28" t="s">
        <v>73</v>
      </c>
      <c r="C59" s="29" t="s">
        <v>58</v>
      </c>
      <c r="D59" s="37" t="s">
        <v>59</v>
      </c>
      <c r="E59" s="54">
        <v>397</v>
      </c>
      <c r="F59" s="45" t="e">
        <f>#REF!</f>
        <v>#REF!</v>
      </c>
      <c r="G59" s="49">
        <v>9147.54</v>
      </c>
    </row>
    <row r="60" spans="1:7" s="2" customFormat="1" ht="39.75" customHeight="1">
      <c r="A60" s="20">
        <v>23</v>
      </c>
      <c r="B60" s="30" t="s">
        <v>74</v>
      </c>
      <c r="C60" s="29" t="s">
        <v>75</v>
      </c>
      <c r="D60" s="37" t="s">
        <v>76</v>
      </c>
      <c r="E60" s="54">
        <v>2500</v>
      </c>
      <c r="F60" s="46">
        <v>2000000</v>
      </c>
      <c r="G60" s="47">
        <f>2000000</f>
        <v>2000000</v>
      </c>
    </row>
    <row r="61" spans="1:7" s="2" customFormat="1" ht="39.75" customHeight="1">
      <c r="A61" s="20"/>
      <c r="B61" s="32"/>
      <c r="C61" s="29" t="s">
        <v>75</v>
      </c>
      <c r="D61" s="37" t="s">
        <v>77</v>
      </c>
      <c r="E61" s="54">
        <v>19000</v>
      </c>
      <c r="F61" s="46"/>
      <c r="G61" s="47"/>
    </row>
    <row r="62" spans="1:7" s="2" customFormat="1" ht="39.75" customHeight="1">
      <c r="A62" s="20"/>
      <c r="B62" s="32"/>
      <c r="C62" s="29" t="s">
        <v>75</v>
      </c>
      <c r="D62" s="37" t="s">
        <v>78</v>
      </c>
      <c r="E62" s="54">
        <v>20000</v>
      </c>
      <c r="F62" s="46"/>
      <c r="G62" s="47"/>
    </row>
    <row r="63" spans="1:8" s="2" customFormat="1" ht="39.75" customHeight="1">
      <c r="A63" s="20"/>
      <c r="B63" s="22" t="s">
        <v>79</v>
      </c>
      <c r="C63" s="22"/>
      <c r="D63" s="22"/>
      <c r="E63" s="54">
        <f>SUM(E60:E62)</f>
        <v>41500</v>
      </c>
      <c r="F63" s="55">
        <f>SUM(F60:F62)</f>
        <v>2000000</v>
      </c>
      <c r="G63" s="56">
        <f>SUM(G60:G62)</f>
        <v>2000000</v>
      </c>
      <c r="H63" s="48"/>
    </row>
    <row r="64" spans="1:7" s="2" customFormat="1" ht="39.75" customHeight="1">
      <c r="A64" s="20">
        <v>24</v>
      </c>
      <c r="B64" s="28" t="s">
        <v>80</v>
      </c>
      <c r="C64" s="29" t="s">
        <v>75</v>
      </c>
      <c r="D64" s="37" t="s">
        <v>81</v>
      </c>
      <c r="E64" s="54">
        <v>300</v>
      </c>
      <c r="F64" s="45" t="e">
        <f>#REF!/6.5*5*0.5</f>
        <v>#REF!</v>
      </c>
      <c r="G64" s="49">
        <f>36093.93</f>
        <v>36093.93</v>
      </c>
    </row>
    <row r="65" spans="1:7" s="2" customFormat="1" ht="42.75" customHeight="1">
      <c r="A65" s="20">
        <v>25</v>
      </c>
      <c r="B65" s="28" t="s">
        <v>82</v>
      </c>
      <c r="C65" s="29" t="s">
        <v>75</v>
      </c>
      <c r="D65" s="37" t="s">
        <v>83</v>
      </c>
      <c r="E65" s="54">
        <v>6700</v>
      </c>
      <c r="F65" s="45">
        <f>67000000*0.05/360*274*0.5</f>
        <v>1274861.111111111</v>
      </c>
      <c r="G65" s="49">
        <f>1274861.11</f>
        <v>1274861.11</v>
      </c>
    </row>
    <row r="66" spans="1:7" s="2" customFormat="1" ht="42.75" customHeight="1">
      <c r="A66" s="20">
        <v>26</v>
      </c>
      <c r="B66" s="28" t="s">
        <v>84</v>
      </c>
      <c r="C66" s="29" t="s">
        <v>75</v>
      </c>
      <c r="D66" s="37" t="s">
        <v>30</v>
      </c>
      <c r="E66" s="54">
        <v>45.2</v>
      </c>
      <c r="F66" s="45" t="e">
        <f>#REF!*0.5</f>
        <v>#REF!</v>
      </c>
      <c r="G66" s="49">
        <f>6380.74</f>
        <v>6380.74</v>
      </c>
    </row>
    <row r="67" spans="1:7" s="2" customFormat="1" ht="48.75" customHeight="1">
      <c r="A67" s="20">
        <v>27</v>
      </c>
      <c r="B67" s="28" t="s">
        <v>85</v>
      </c>
      <c r="C67" s="29" t="s">
        <v>75</v>
      </c>
      <c r="D67" s="37" t="s">
        <v>86</v>
      </c>
      <c r="E67" s="54">
        <v>500</v>
      </c>
      <c r="F67" s="45">
        <f>5000000*0.05/360*274*0.5</f>
        <v>95138.88888888889</v>
      </c>
      <c r="G67" s="49">
        <f>95138.89</f>
        <v>95138.89</v>
      </c>
    </row>
    <row r="68" spans="1:8" s="5" customFormat="1" ht="42.75" customHeight="1">
      <c r="A68" s="57">
        <v>28</v>
      </c>
      <c r="B68" s="58" t="s">
        <v>87</v>
      </c>
      <c r="C68" s="59" t="s">
        <v>75</v>
      </c>
      <c r="D68" s="60" t="s">
        <v>88</v>
      </c>
      <c r="E68" s="66">
        <v>390</v>
      </c>
      <c r="F68" s="67">
        <f>(3900000*0.05/360*252+3500000*0.05/360*6)*0.5</f>
        <v>69708.33333333333</v>
      </c>
      <c r="G68" s="68">
        <f>69708.33</f>
        <v>69708.33</v>
      </c>
      <c r="H68" s="2"/>
    </row>
    <row r="69" spans="1:8" s="5" customFormat="1" ht="42.75" customHeight="1">
      <c r="A69" s="57"/>
      <c r="B69" s="61"/>
      <c r="C69" s="62"/>
      <c r="D69" s="60" t="s">
        <v>88</v>
      </c>
      <c r="E69" s="66">
        <v>200</v>
      </c>
      <c r="F69" s="67">
        <f>(2000000*0.05/360*22+2000000*0.05/360*20)*0.5</f>
        <v>5833.333333333334</v>
      </c>
      <c r="G69" s="68">
        <v>5833.33</v>
      </c>
      <c r="H69" s="2"/>
    </row>
    <row r="70" spans="1:8" s="5" customFormat="1" ht="42.75" customHeight="1">
      <c r="A70" s="57"/>
      <c r="B70" s="61"/>
      <c r="C70" s="62"/>
      <c r="D70" s="60" t="s">
        <v>88</v>
      </c>
      <c r="E70" s="66">
        <v>100</v>
      </c>
      <c r="F70" s="67">
        <f>(1000000*0.05/360*22+1000000*0.05/360*20)*0.5</f>
        <v>2916.666666666667</v>
      </c>
      <c r="G70" s="68">
        <v>2916.67</v>
      </c>
      <c r="H70" s="2"/>
    </row>
    <row r="71" spans="1:8" s="5" customFormat="1" ht="46.5" customHeight="1">
      <c r="A71" s="57"/>
      <c r="B71" s="61"/>
      <c r="C71" s="62"/>
      <c r="D71" s="60" t="s">
        <v>88</v>
      </c>
      <c r="E71" s="66">
        <v>400</v>
      </c>
      <c r="F71" s="67">
        <f>4000000*0.05/360*42*0.5</f>
        <v>11666.666666666666</v>
      </c>
      <c r="G71" s="68">
        <v>11666.67</v>
      </c>
      <c r="H71" s="2"/>
    </row>
    <row r="72" spans="1:7" s="2" customFormat="1" ht="42.75" customHeight="1">
      <c r="A72" s="63"/>
      <c r="B72" s="22" t="s">
        <v>89</v>
      </c>
      <c r="C72" s="22"/>
      <c r="D72" s="22"/>
      <c r="E72" s="54">
        <f>SUM(E68:E71)</f>
        <v>1090</v>
      </c>
      <c r="F72" s="55">
        <f>SUM(F68:F71)</f>
        <v>90125</v>
      </c>
      <c r="G72" s="56">
        <f>SUM(G68:G71)</f>
        <v>90125</v>
      </c>
    </row>
    <row r="73" spans="1:7" s="6" customFormat="1" ht="45" customHeight="1">
      <c r="A73" s="18" t="s">
        <v>90</v>
      </c>
      <c r="B73" s="64"/>
      <c r="C73" s="64"/>
      <c r="D73" s="65"/>
      <c r="E73" s="69">
        <f>E9+E10+E13+E14+E15+E19+E20+E27+E30+E31++E35+E36+E40+E43+E44+E51+E52+E55+E56+E57+E58+E59+E63+E64+E65+E66+E67+E72</f>
        <v>131000.09999999999</v>
      </c>
      <c r="F73" s="70" t="e">
        <f>F9+F10+F13+F14+F15+F19+F20+#REF!+F27+F30+F31+F35+F36+F40+F43+F44+F51+F52+F55+F56+F57+F58+F59+F63+#REF!+F64+F65+F66+F67+F72</f>
        <v>#REF!</v>
      </c>
      <c r="G73" s="44">
        <f>G9+G10+G13+G14+G15+G19+G20+G27+G30+G31+G35+G36+G40+G43+G44+G51+G52+G55+G56+G57+G58+G59+G63+G64+G65+G66+G67+G72+H77</f>
        <v>12865281.229999999</v>
      </c>
    </row>
  </sheetData>
  <sheetProtection/>
  <autoFilter ref="A3:K73"/>
  <mergeCells count="57">
    <mergeCell ref="A1:G1"/>
    <mergeCell ref="A2:G2"/>
    <mergeCell ref="H2:K2"/>
    <mergeCell ref="B9:D9"/>
    <mergeCell ref="B13:D13"/>
    <mergeCell ref="B19:D19"/>
    <mergeCell ref="B27:D27"/>
    <mergeCell ref="B30:D30"/>
    <mergeCell ref="B35:D35"/>
    <mergeCell ref="B40:D40"/>
    <mergeCell ref="B43:D43"/>
    <mergeCell ref="B51:D51"/>
    <mergeCell ref="B55:D55"/>
    <mergeCell ref="B63:D63"/>
    <mergeCell ref="B72:D72"/>
    <mergeCell ref="A73:C73"/>
    <mergeCell ref="A4:A9"/>
    <mergeCell ref="A11:A13"/>
    <mergeCell ref="A16:A19"/>
    <mergeCell ref="A21:A27"/>
    <mergeCell ref="A28:A30"/>
    <mergeCell ref="A32:A35"/>
    <mergeCell ref="A37:A40"/>
    <mergeCell ref="A41:A43"/>
    <mergeCell ref="A45:A51"/>
    <mergeCell ref="A53:A55"/>
    <mergeCell ref="A60:A63"/>
    <mergeCell ref="A68:A71"/>
    <mergeCell ref="B4:B8"/>
    <mergeCell ref="B11:B12"/>
    <mergeCell ref="B16:B18"/>
    <mergeCell ref="B21:B26"/>
    <mergeCell ref="B28:B29"/>
    <mergeCell ref="B32:B34"/>
    <mergeCell ref="B37:B39"/>
    <mergeCell ref="B41:B42"/>
    <mergeCell ref="B45:B50"/>
    <mergeCell ref="B53:B54"/>
    <mergeCell ref="B60:B62"/>
    <mergeCell ref="B68:B71"/>
    <mergeCell ref="C4:C8"/>
    <mergeCell ref="C11:C12"/>
    <mergeCell ref="C16:C18"/>
    <mergeCell ref="C21:C26"/>
    <mergeCell ref="C32:C34"/>
    <mergeCell ref="C37:C39"/>
    <mergeCell ref="C45:C50"/>
    <mergeCell ref="C53:C54"/>
    <mergeCell ref="C68:C71"/>
    <mergeCell ref="D24:D26"/>
    <mergeCell ref="F45:F50"/>
    <mergeCell ref="F60:F62"/>
    <mergeCell ref="G4:G8"/>
    <mergeCell ref="G21:G26"/>
    <mergeCell ref="G41:G42"/>
    <mergeCell ref="G45:G50"/>
    <mergeCell ref="G60:G62"/>
  </mergeCells>
  <printOptions/>
  <pageMargins left="0.16111111111111112" right="0.16111111111111112" top="0.60625" bottom="0.40902777777777777" header="0.5" footer="0.5"/>
  <pageSetup horizontalDpi="600" verticalDpi="6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2022-11-09T17:30:45Z</dcterms:created>
  <dcterms:modified xsi:type="dcterms:W3CDTF">2022-11-17T16:24:52Z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042E2E0D8A724416B47CD712B6C8EFBB</vt:lpwstr>
  </property>
  <property fmtid="{D5CDD505-2E9C-101B-9397-08002B2CF9AE}" pid="4" name="퀀_generated_2.-2147483648">
    <vt:i4>2052</vt:i4>
  </property>
</Properties>
</file>